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820"/>
  </bookViews>
  <sheets>
    <sheet name="факт баланс за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B38" i="1"/>
  <c r="E38" i="1" s="1"/>
  <c r="O37" i="1"/>
  <c r="E37" i="1"/>
  <c r="F37" i="1" s="1"/>
  <c r="O36" i="1"/>
  <c r="D36" i="1"/>
  <c r="D39" i="1" s="1"/>
  <c r="C36" i="1"/>
  <c r="E36" i="1" s="1"/>
  <c r="B36" i="1"/>
  <c r="B39" i="1" s="1"/>
  <c r="O35" i="1"/>
  <c r="E35" i="1"/>
  <c r="O34" i="1"/>
  <c r="F34" i="1"/>
  <c r="E34" i="1"/>
  <c r="O33" i="1"/>
  <c r="E33" i="1"/>
  <c r="O32" i="1"/>
  <c r="F32" i="1"/>
  <c r="E32" i="1"/>
  <c r="O31" i="1"/>
  <c r="E31" i="1"/>
  <c r="G31" i="1" s="1"/>
  <c r="O30" i="1"/>
  <c r="F30" i="1"/>
  <c r="E30" i="1"/>
  <c r="O29" i="1"/>
  <c r="E29" i="1"/>
  <c r="O28" i="1"/>
  <c r="O39" i="1" s="1"/>
  <c r="F28" i="1"/>
  <c r="E28" i="1"/>
  <c r="O27" i="1"/>
  <c r="E27" i="1"/>
  <c r="F20" i="1"/>
  <c r="V19" i="1"/>
  <c r="T19" i="1"/>
  <c r="S19" i="1"/>
  <c r="R19" i="1"/>
  <c r="L19" i="1"/>
  <c r="K19" i="1"/>
  <c r="J19" i="1"/>
  <c r="I19" i="1"/>
  <c r="H19" i="1"/>
  <c r="H20" i="1" s="1"/>
  <c r="F19" i="1"/>
  <c r="E19" i="1"/>
  <c r="D19" i="1"/>
  <c r="D20" i="1" s="1"/>
  <c r="C19" i="1"/>
  <c r="B19" i="1"/>
  <c r="B20" i="1" s="1"/>
  <c r="U18" i="1"/>
  <c r="P18" i="1"/>
  <c r="N18" i="1"/>
  <c r="M18" i="1"/>
  <c r="G18" i="1"/>
  <c r="U17" i="1"/>
  <c r="P17" i="1"/>
  <c r="N17" i="1"/>
  <c r="M17" i="1"/>
  <c r="O17" i="1" s="1"/>
  <c r="Q17" i="1" s="1"/>
  <c r="U35" i="1" s="1"/>
  <c r="G17" i="1"/>
  <c r="K37" i="1" s="1"/>
  <c r="U16" i="1"/>
  <c r="P16" i="1"/>
  <c r="O16" i="1"/>
  <c r="Q16" i="1" s="1"/>
  <c r="N16" i="1"/>
  <c r="M16" i="1"/>
  <c r="G16" i="1"/>
  <c r="U15" i="1"/>
  <c r="P15" i="1"/>
  <c r="N15" i="1"/>
  <c r="O15" i="1" s="1"/>
  <c r="Q15" i="1" s="1"/>
  <c r="M15" i="1"/>
  <c r="G15" i="1"/>
  <c r="U14" i="1"/>
  <c r="P14" i="1"/>
  <c r="N14" i="1"/>
  <c r="M14" i="1"/>
  <c r="G14" i="1"/>
  <c r="U13" i="1"/>
  <c r="P13" i="1"/>
  <c r="N13" i="1"/>
  <c r="M13" i="1"/>
  <c r="G13" i="1"/>
  <c r="U12" i="1"/>
  <c r="P12" i="1"/>
  <c r="O12" i="1"/>
  <c r="Q12" i="1" s="1"/>
  <c r="N12" i="1"/>
  <c r="R32" i="1" s="1"/>
  <c r="M12" i="1"/>
  <c r="G12" i="1"/>
  <c r="U11" i="1"/>
  <c r="P11" i="1"/>
  <c r="N11" i="1"/>
  <c r="O11" i="1" s="1"/>
  <c r="Q11" i="1" s="1"/>
  <c r="M11" i="1"/>
  <c r="Q31" i="1" s="1"/>
  <c r="G11" i="1"/>
  <c r="U10" i="1"/>
  <c r="P10" i="1"/>
  <c r="N10" i="1"/>
  <c r="M10" i="1"/>
  <c r="G10" i="1"/>
  <c r="U9" i="1"/>
  <c r="P9" i="1"/>
  <c r="N9" i="1"/>
  <c r="M9" i="1"/>
  <c r="G9" i="1"/>
  <c r="U8" i="1"/>
  <c r="P8" i="1"/>
  <c r="O8" i="1"/>
  <c r="Q8" i="1" s="1"/>
  <c r="N8" i="1"/>
  <c r="M8" i="1"/>
  <c r="G8" i="1"/>
  <c r="U7" i="1"/>
  <c r="U19" i="1" s="1"/>
  <c r="P7" i="1"/>
  <c r="N7" i="1"/>
  <c r="O7" i="1" s="1"/>
  <c r="M7" i="1"/>
  <c r="G7" i="1"/>
  <c r="G19" i="1" s="1"/>
  <c r="K28" i="1" l="1"/>
  <c r="G32" i="1"/>
  <c r="U30" i="1"/>
  <c r="Q32" i="1"/>
  <c r="G34" i="1"/>
  <c r="F36" i="1"/>
  <c r="G36" i="1"/>
  <c r="G28" i="1"/>
  <c r="Q28" i="1"/>
  <c r="U26" i="1"/>
  <c r="U33" i="1"/>
  <c r="K35" i="1"/>
  <c r="L28" i="1"/>
  <c r="Q7" i="1"/>
  <c r="K32" i="1"/>
  <c r="Q34" i="1"/>
  <c r="U34" i="1"/>
  <c r="Q36" i="1"/>
  <c r="G27" i="1"/>
  <c r="L32" i="1"/>
  <c r="G35" i="1"/>
  <c r="F38" i="1"/>
  <c r="R28" i="1"/>
  <c r="U29" i="1"/>
  <c r="K31" i="1"/>
  <c r="R34" i="1"/>
  <c r="Q35" i="1"/>
  <c r="K36" i="1"/>
  <c r="L36" i="1" s="1"/>
  <c r="R36" i="1"/>
  <c r="R37" i="1"/>
  <c r="Q38" i="1"/>
  <c r="R27" i="1"/>
  <c r="L37" i="1"/>
  <c r="C39" i="1"/>
  <c r="M19" i="1"/>
  <c r="O10" i="1"/>
  <c r="Q10" i="1" s="1"/>
  <c r="U28" i="1" s="1"/>
  <c r="O14" i="1"/>
  <c r="Q14" i="1" s="1"/>
  <c r="U32" i="1" s="1"/>
  <c r="O18" i="1"/>
  <c r="Q18" i="1" s="1"/>
  <c r="N19" i="1"/>
  <c r="F27" i="1"/>
  <c r="F29" i="1"/>
  <c r="F31" i="1"/>
  <c r="F33" i="1"/>
  <c r="F35" i="1"/>
  <c r="G37" i="1"/>
  <c r="Q37" i="1"/>
  <c r="S37" i="1" s="1"/>
  <c r="E39" i="1"/>
  <c r="F39" i="1" s="1"/>
  <c r="P19" i="1"/>
  <c r="R31" i="1"/>
  <c r="S31" i="1" s="1"/>
  <c r="R35" i="1"/>
  <c r="L31" i="1"/>
  <c r="L35" i="1"/>
  <c r="O9" i="1"/>
  <c r="Q9" i="1" s="1"/>
  <c r="U27" i="1" s="1"/>
  <c r="O13" i="1"/>
  <c r="Q13" i="1" s="1"/>
  <c r="U31" i="1" s="1"/>
  <c r="R33" i="1" l="1"/>
  <c r="D40" i="1"/>
  <c r="S36" i="1"/>
  <c r="O19" i="1"/>
  <c r="S28" i="1"/>
  <c r="K34" i="1"/>
  <c r="L34" i="1" s="1"/>
  <c r="K33" i="1"/>
  <c r="L33" i="1" s="1"/>
  <c r="U36" i="1"/>
  <c r="K38" i="1"/>
  <c r="L38" i="1" s="1"/>
  <c r="K29" i="1"/>
  <c r="L29" i="1" s="1"/>
  <c r="U25" i="1"/>
  <c r="Q19" i="1"/>
  <c r="K27" i="1"/>
  <c r="L27" i="1" s="1"/>
  <c r="R38" i="1"/>
  <c r="Q27" i="1"/>
  <c r="C40" i="1"/>
  <c r="G29" i="1"/>
  <c r="R30" i="1"/>
  <c r="B40" i="1"/>
  <c r="G33" i="1"/>
  <c r="Q33" i="1"/>
  <c r="S33" i="1" s="1"/>
  <c r="Q30" i="1"/>
  <c r="G30" i="1"/>
  <c r="S38" i="1"/>
  <c r="S35" i="1"/>
  <c r="G38" i="1"/>
  <c r="S34" i="1"/>
  <c r="R29" i="1"/>
  <c r="K30" i="1"/>
  <c r="L30" i="1" s="1"/>
  <c r="S32" i="1"/>
  <c r="Q29" i="1"/>
  <c r="S29" i="1" l="1"/>
  <c r="S27" i="1"/>
  <c r="S30" i="1"/>
</calcChain>
</file>

<file path=xl/sharedStrings.xml><?xml version="1.0" encoding="utf-8"?>
<sst xmlns="http://schemas.openxmlformats.org/spreadsheetml/2006/main" count="93" uniqueCount="45">
  <si>
    <t xml:space="preserve">                                                                  Фактический баланс электрической энергии по сети МУП "ШТЭС" за 2021 год.</t>
  </si>
  <si>
    <t>Месяц</t>
  </si>
  <si>
    <t>Поступление в сеть</t>
  </si>
  <si>
    <t>Отпуск в сеть</t>
  </si>
  <si>
    <t>Собственное потребление</t>
  </si>
  <si>
    <t>Справочно</t>
  </si>
  <si>
    <t>Красноярскэнерго</t>
  </si>
  <si>
    <t>Хакасэнерго</t>
  </si>
  <si>
    <t>ФСК ЕЭС - МЭС Сибири</t>
  </si>
  <si>
    <t>Всего</t>
  </si>
  <si>
    <t>Смежные сети</t>
  </si>
  <si>
    <t>Юридические лица</t>
  </si>
  <si>
    <t>Физ. лица</t>
  </si>
  <si>
    <t>ВН</t>
  </si>
  <si>
    <t>СН2</t>
  </si>
  <si>
    <t>СН1</t>
  </si>
  <si>
    <t>СН2 (ПрофСервисТрейд)</t>
  </si>
  <si>
    <t>НН (ПрофСервисТрейд)</t>
  </si>
  <si>
    <t>НН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</si>
  <si>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</si>
  <si>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</si>
  <si>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</si>
  <si>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</si>
  <si>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</si>
  <si>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</si>
  <si>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</si>
  <si>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</si>
  <si>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-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</si>
  <si>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</si>
  <si>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</si>
  <si>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</si>
  <si>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</si>
  <si>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</si>
  <si>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</si>
  <si>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Фактические потери красноярскэнергосбыт</t>
  </si>
  <si>
    <t>% потерь по месяцам</t>
  </si>
  <si>
    <t>Общие потери</t>
  </si>
  <si>
    <t>Поступление от МРСК</t>
  </si>
  <si>
    <t>цыфра для Окуневой</t>
  </si>
  <si>
    <t>Фактические потери по уровням 46</t>
  </si>
  <si>
    <t>правильно</t>
  </si>
  <si>
    <t>сн2</t>
  </si>
  <si>
    <t>нн</t>
  </si>
  <si>
    <t>итого</t>
  </si>
  <si>
    <t>% потерь по диапазонам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</si>
</sst>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/>
    <xf numFmtId="165" fontId="6" fillId="0" borderId="15" xfId="1" applyNumberFormat="1" applyFont="1" applyBorder="1" applyAlignment="1">
      <alignment horizontal="center"/>
    </xf>
    <xf numFmtId="165" fontId="6" fillId="0" borderId="25" xfId="1" applyNumberFormat="1" applyFont="1" applyBorder="1" applyAlignment="1">
      <alignment horizontal="center"/>
    </xf>
    <xf numFmtId="165" fontId="6" fillId="2" borderId="15" xfId="1" applyNumberFormat="1" applyFont="1" applyFill="1" applyBorder="1" applyAlignment="1">
      <alignment horizontal="center"/>
    </xf>
    <xf numFmtId="165" fontId="6" fillId="0" borderId="26" xfId="1" applyNumberFormat="1" applyFont="1" applyBorder="1" applyAlignment="1">
      <alignment horizontal="center"/>
    </xf>
    <xf numFmtId="0" fontId="6" fillId="0" borderId="26" xfId="0" applyFont="1" applyBorder="1"/>
    <xf numFmtId="165" fontId="6" fillId="0" borderId="15" xfId="1" applyNumberFormat="1" applyFont="1" applyFill="1" applyBorder="1" applyAlignment="1">
      <alignment horizontal="center"/>
    </xf>
    <xf numFmtId="165" fontId="6" fillId="0" borderId="27" xfId="1" applyNumberFormat="1" applyFont="1" applyBorder="1"/>
    <xf numFmtId="165" fontId="6" fillId="0" borderId="28" xfId="1" applyNumberFormat="1" applyFont="1" applyBorder="1"/>
    <xf numFmtId="165" fontId="6" fillId="0" borderId="14" xfId="1" applyNumberFormat="1" applyFont="1" applyBorder="1"/>
    <xf numFmtId="165" fontId="6" fillId="2" borderId="14" xfId="1" applyNumberFormat="1" applyFont="1" applyFill="1" applyBorder="1"/>
    <xf numFmtId="165" fontId="6" fillId="0" borderId="29" xfId="1" applyNumberFormat="1" applyFont="1" applyBorder="1"/>
    <xf numFmtId="165" fontId="6" fillId="2" borderId="15" xfId="1" applyNumberFormat="1" applyFont="1" applyFill="1" applyBorder="1"/>
    <xf numFmtId="165" fontId="6" fillId="0" borderId="1" xfId="1" applyNumberFormat="1" applyFont="1" applyBorder="1"/>
    <xf numFmtId="165" fontId="6" fillId="0" borderId="26" xfId="0" applyNumberFormat="1" applyFont="1" applyBorder="1"/>
    <xf numFmtId="0" fontId="6" fillId="0" borderId="28" xfId="0" applyFont="1" applyBorder="1"/>
    <xf numFmtId="165" fontId="6" fillId="0" borderId="28" xfId="1" applyNumberFormat="1" applyFont="1" applyBorder="1" applyAlignment="1">
      <alignment horizontal="center"/>
    </xf>
    <xf numFmtId="165" fontId="6" fillId="0" borderId="30" xfId="1" applyNumberFormat="1" applyFont="1" applyBorder="1" applyAlignment="1">
      <alignment horizontal="center"/>
    </xf>
    <xf numFmtId="3" fontId="6" fillId="0" borderId="28" xfId="0" applyNumberFormat="1" applyFont="1" applyBorder="1"/>
    <xf numFmtId="165" fontId="6" fillId="0" borderId="28" xfId="1" applyNumberFormat="1" applyFont="1" applyFill="1" applyBorder="1" applyAlignment="1">
      <alignment horizontal="center"/>
    </xf>
    <xf numFmtId="165" fontId="6" fillId="0" borderId="30" xfId="1" applyNumberFormat="1" applyFont="1" applyBorder="1"/>
    <xf numFmtId="165" fontId="6" fillId="0" borderId="28" xfId="0" applyNumberFormat="1" applyFont="1" applyBorder="1"/>
    <xf numFmtId="165" fontId="6" fillId="3" borderId="28" xfId="1" applyNumberFormat="1" applyFont="1" applyFill="1" applyBorder="1" applyAlignment="1">
      <alignment horizontal="center"/>
    </xf>
    <xf numFmtId="165" fontId="6" fillId="3" borderId="27" xfId="1" applyNumberFormat="1" applyFont="1" applyFill="1" applyBorder="1"/>
    <xf numFmtId="0" fontId="6" fillId="0" borderId="31" xfId="0" applyFont="1" applyBorder="1"/>
    <xf numFmtId="165" fontId="6" fillId="0" borderId="23" xfId="1" applyNumberFormat="1" applyFont="1" applyBorder="1" applyAlignment="1">
      <alignment horizontal="center"/>
    </xf>
    <xf numFmtId="165" fontId="6" fillId="0" borderId="31" xfId="1" applyNumberFormat="1" applyFont="1" applyBorder="1" applyAlignment="1">
      <alignment horizontal="center"/>
    </xf>
    <xf numFmtId="165" fontId="6" fillId="0" borderId="32" xfId="1" applyNumberFormat="1" applyFont="1" applyBorder="1" applyAlignment="1">
      <alignment horizontal="center"/>
    </xf>
    <xf numFmtId="165" fontId="6" fillId="0" borderId="33" xfId="1" applyNumberFormat="1" applyFont="1" applyBorder="1"/>
    <xf numFmtId="165" fontId="6" fillId="0" borderId="31" xfId="1" applyNumberFormat="1" applyFont="1" applyBorder="1"/>
    <xf numFmtId="165" fontId="6" fillId="0" borderId="22" xfId="1" applyNumberFormat="1" applyFont="1" applyBorder="1"/>
    <xf numFmtId="165" fontId="6" fillId="0" borderId="34" xfId="1" applyNumberFormat="1" applyFont="1" applyBorder="1"/>
    <xf numFmtId="165" fontId="6" fillId="0" borderId="23" xfId="0" applyNumberFormat="1" applyFont="1" applyBorder="1"/>
    <xf numFmtId="0" fontId="7" fillId="0" borderId="1" xfId="0" applyFont="1" applyBorder="1" applyAlignment="1">
      <alignment horizontal="center" vertical="center"/>
    </xf>
    <xf numFmtId="165" fontId="6" fillId="0" borderId="24" xfId="1" applyNumberFormat="1" applyFont="1" applyBorder="1" applyAlignment="1">
      <alignment horizontal="center"/>
    </xf>
    <xf numFmtId="165" fontId="6" fillId="0" borderId="7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65" fontId="7" fillId="0" borderId="31" xfId="1" applyNumberFormat="1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165" fontId="6" fillId="0" borderId="35" xfId="1" applyNumberFormat="1" applyFont="1" applyBorder="1" applyAlignment="1">
      <alignment horizontal="center"/>
    </xf>
    <xf numFmtId="165" fontId="6" fillId="0" borderId="10" xfId="1" applyNumberFormat="1" applyFont="1" applyBorder="1" applyAlignment="1">
      <alignment horizontal="center"/>
    </xf>
    <xf numFmtId="165" fontId="7" fillId="0" borderId="11" xfId="1" applyNumberFormat="1" applyFont="1" applyBorder="1" applyAlignment="1">
      <alignment horizontal="center"/>
    </xf>
    <xf numFmtId="165" fontId="6" fillId="0" borderId="36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165" fontId="7" fillId="0" borderId="20" xfId="1" applyNumberFormat="1" applyFont="1" applyBorder="1" applyAlignment="1">
      <alignment horizontal="center" vertical="center"/>
    </xf>
    <xf numFmtId="165" fontId="7" fillId="0" borderId="21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/>
    </xf>
    <xf numFmtId="165" fontId="7" fillId="0" borderId="7" xfId="1" applyNumberFormat="1" applyFont="1" applyBorder="1" applyAlignment="1">
      <alignment horizontal="center"/>
    </xf>
    <xf numFmtId="165" fontId="7" fillId="0" borderId="20" xfId="1" applyNumberFormat="1" applyFont="1" applyBorder="1" applyAlignment="1">
      <alignment horizontal="center"/>
    </xf>
    <xf numFmtId="165" fontId="7" fillId="0" borderId="18" xfId="1" applyNumberFormat="1" applyFont="1" applyBorder="1" applyAlignment="1">
      <alignment horizontal="center"/>
    </xf>
    <xf numFmtId="165" fontId="6" fillId="0" borderId="37" xfId="0" applyNumberFormat="1" applyFont="1" applyBorder="1" applyAlignment="1">
      <alignment horizontal="center"/>
    </xf>
    <xf numFmtId="165" fontId="6" fillId="0" borderId="38" xfId="0" applyNumberFormat="1" applyFont="1" applyBorder="1" applyAlignment="1">
      <alignment horizontal="center"/>
    </xf>
    <xf numFmtId="165" fontId="6" fillId="0" borderId="39" xfId="0" applyNumberFormat="1" applyFont="1" applyBorder="1" applyAlignment="1">
      <alignment horizontal="center"/>
    </xf>
    <xf numFmtId="165" fontId="6" fillId="0" borderId="40" xfId="0" applyNumberFormat="1" applyFont="1" applyBorder="1" applyAlignment="1">
      <alignment horizontal="center"/>
    </xf>
    <xf numFmtId="165" fontId="6" fillId="0" borderId="19" xfId="1" applyNumberFormat="1" applyFont="1" applyBorder="1" applyAlignment="1">
      <alignment horizontal="center"/>
    </xf>
    <xf numFmtId="165" fontId="6" fillId="0" borderId="38" xfId="1" applyNumberFormat="1" applyFont="1" applyBorder="1" applyAlignment="1">
      <alignment horizontal="center"/>
    </xf>
    <xf numFmtId="165" fontId="6" fillId="0" borderId="21" xfId="1" applyNumberFormat="1" applyFont="1" applyBorder="1" applyAlignment="1">
      <alignment horizontal="center"/>
    </xf>
    <xf numFmtId="165" fontId="6" fillId="0" borderId="18" xfId="1" applyNumberFormat="1" applyFont="1" applyBorder="1" applyAlignment="1">
      <alignment horizontal="center"/>
    </xf>
    <xf numFmtId="165" fontId="3" fillId="0" borderId="0" xfId="0" applyNumberFormat="1" applyFont="1"/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0" fontId="3" fillId="3" borderId="0" xfId="0" applyFont="1" applyFill="1"/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165" fontId="0" fillId="0" borderId="0" xfId="0" applyNumberFormat="1"/>
    <xf numFmtId="0" fontId="3" fillId="0" borderId="26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48" xfId="0" applyFont="1" applyBorder="1"/>
    <xf numFmtId="165" fontId="9" fillId="0" borderId="15" xfId="1" applyNumberFormat="1" applyFont="1" applyFill="1" applyBorder="1" applyAlignment="1" applyProtection="1">
      <alignment horizontal="right" vertical="center" wrapText="1"/>
      <protection locked="0"/>
    </xf>
    <xf numFmtId="165" fontId="10" fillId="2" borderId="49" xfId="1" applyNumberFormat="1" applyFont="1" applyFill="1" applyBorder="1"/>
    <xf numFmtId="0" fontId="4" fillId="0" borderId="15" xfId="0" applyFont="1" applyBorder="1" applyAlignment="1">
      <alignment horizontal="center"/>
    </xf>
    <xf numFmtId="165" fontId="8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3" fillId="0" borderId="44" xfId="0" applyFont="1" applyBorder="1"/>
    <xf numFmtId="165" fontId="3" fillId="0" borderId="44" xfId="0" applyNumberFormat="1" applyFont="1" applyBorder="1"/>
    <xf numFmtId="165" fontId="9" fillId="0" borderId="28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11" xfId="0" applyNumberFormat="1" applyFont="1" applyBorder="1"/>
    <xf numFmtId="165" fontId="9" fillId="0" borderId="28" xfId="1" applyNumberFormat="1" applyFont="1" applyFill="1" applyBorder="1" applyAlignment="1" applyProtection="1">
      <alignment horizontal="right" vertical="center"/>
      <protection locked="0"/>
    </xf>
    <xf numFmtId="0" fontId="3" fillId="0" borderId="50" xfId="0" applyFont="1" applyBorder="1"/>
    <xf numFmtId="165" fontId="3" fillId="0" borderId="31" xfId="1" applyNumberFormat="1" applyFont="1" applyBorder="1"/>
    <xf numFmtId="0" fontId="4" fillId="0" borderId="36" xfId="0" applyFont="1" applyFill="1" applyBorder="1"/>
    <xf numFmtId="165" fontId="4" fillId="0" borderId="24" xfId="1" applyNumberFormat="1" applyFont="1" applyBorder="1"/>
    <xf numFmtId="165" fontId="4" fillId="0" borderId="18" xfId="1" applyNumberFormat="1" applyFont="1" applyBorder="1"/>
    <xf numFmtId="165" fontId="4" fillId="0" borderId="6" xfId="1" applyNumberFormat="1" applyFont="1" applyBorder="1"/>
    <xf numFmtId="0" fontId="4" fillId="0" borderId="24" xfId="0" applyFont="1" applyBorder="1" applyAlignment="1">
      <alignment horizontal="center"/>
    </xf>
    <xf numFmtId="0" fontId="4" fillId="0" borderId="44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zoomScale="85" zoomScaleNormal="85" workbookViewId="0">
      <selection activeCell="H41" sqref="H41"/>
    </sheetView>
  </sheetViews>
  <sheetFormatPr defaultRowHeight="12.75" x14ac:dyDescent="0.2"/>
  <cols>
    <col min="2" max="2" width="14.28515625" customWidth="1"/>
    <col min="3" max="3" width="10.140625" customWidth="1"/>
    <col min="4" max="4" width="11" customWidth="1"/>
    <col min="5" max="5" width="12.28515625" customWidth="1"/>
    <col min="6" max="6" width="11.7109375" customWidth="1"/>
    <col min="7" max="7" width="11.140625" customWidth="1"/>
    <col min="11" max="11" width="10.85546875" customWidth="1"/>
    <col min="13" max="13" width="11.28515625" customWidth="1"/>
    <col min="14" max="14" width="10.85546875" customWidth="1"/>
    <col min="15" max="15" width="12" customWidth="1"/>
    <col min="16" max="16" width="11.140625" customWidth="1"/>
    <col min="17" max="17" width="12.7109375" customWidth="1"/>
    <col min="18" max="18" width="12.85546875" customWidth="1"/>
    <col min="21" max="21" width="11" customWidth="1"/>
    <col min="22" max="22" width="12" customWidth="1"/>
    <col min="23" max="23" width="10.5703125" bestFit="1" customWidth="1"/>
  </cols>
  <sheetData>
    <row r="1" spans="1:22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 thickBot="1" x14ac:dyDescent="0.25">
      <c r="A4" s="3" t="s">
        <v>1</v>
      </c>
      <c r="B4" s="4" t="s">
        <v>2</v>
      </c>
      <c r="C4" s="5"/>
      <c r="D4" s="5"/>
      <c r="E4" s="5"/>
      <c r="F4" s="6"/>
      <c r="G4" s="6"/>
      <c r="H4" s="7" t="s">
        <v>3</v>
      </c>
      <c r="I4" s="8"/>
      <c r="J4" s="8"/>
      <c r="K4" s="8"/>
      <c r="L4" s="8"/>
      <c r="M4" s="8"/>
      <c r="N4" s="8"/>
      <c r="O4" s="8"/>
      <c r="P4" s="8"/>
      <c r="Q4" s="9"/>
      <c r="R4" s="10" t="s">
        <v>4</v>
      </c>
      <c r="S4" s="11"/>
      <c r="T4" s="11"/>
      <c r="U4" s="12"/>
      <c r="V4" s="13" t="s">
        <v>5</v>
      </c>
    </row>
    <row r="5" spans="1:22" ht="39" thickBot="1" x14ac:dyDescent="0.25">
      <c r="A5" s="14"/>
      <c r="B5" s="10" t="s">
        <v>6</v>
      </c>
      <c r="C5" s="12"/>
      <c r="D5" s="15" t="s">
        <v>7</v>
      </c>
      <c r="E5" s="16"/>
      <c r="F5" s="17" t="s">
        <v>8</v>
      </c>
      <c r="G5" s="18" t="s">
        <v>9</v>
      </c>
      <c r="H5" s="10" t="s">
        <v>10</v>
      </c>
      <c r="I5" s="11"/>
      <c r="J5" s="11"/>
      <c r="K5" s="12"/>
      <c r="L5" s="19" t="s">
        <v>11</v>
      </c>
      <c r="M5" s="20"/>
      <c r="N5" s="20"/>
      <c r="O5" s="21"/>
      <c r="P5" s="22" t="s">
        <v>12</v>
      </c>
      <c r="Q5" s="23" t="s">
        <v>9</v>
      </c>
      <c r="R5" s="24" t="s">
        <v>6</v>
      </c>
      <c r="S5" s="25"/>
      <c r="T5" s="26" t="s">
        <v>7</v>
      </c>
      <c r="U5" s="27"/>
      <c r="V5" s="28"/>
    </row>
    <row r="6" spans="1:22" ht="13.5" thickBot="1" x14ac:dyDescent="0.25">
      <c r="A6" s="29"/>
      <c r="B6" s="30" t="s">
        <v>13</v>
      </c>
      <c r="C6" s="30" t="s">
        <v>14</v>
      </c>
      <c r="D6" s="30" t="s">
        <v>15</v>
      </c>
      <c r="E6" s="30" t="s">
        <v>14</v>
      </c>
      <c r="F6" s="31" t="s">
        <v>13</v>
      </c>
      <c r="G6" s="32"/>
      <c r="H6" s="33" t="s">
        <v>13</v>
      </c>
      <c r="I6" s="33" t="s">
        <v>14</v>
      </c>
      <c r="J6" s="34" t="s">
        <v>16</v>
      </c>
      <c r="K6" s="35" t="s">
        <v>17</v>
      </c>
      <c r="L6" s="36" t="s">
        <v>15</v>
      </c>
      <c r="M6" s="36" t="s">
        <v>14</v>
      </c>
      <c r="N6" s="37" t="s">
        <v>18</v>
      </c>
      <c r="O6" s="37" t="s">
        <v>19</v>
      </c>
      <c r="P6" s="36"/>
      <c r="Q6" s="23"/>
      <c r="R6" s="38" t="s">
        <v>13</v>
      </c>
      <c r="S6" s="38" t="s">
        <v>14</v>
      </c>
      <c r="T6" s="38" t="s">
        <v>14</v>
      </c>
      <c r="U6" s="38" t="s">
        <v>19</v>
      </c>
      <c r="V6" s="39" t="s">
        <v>19</v>
      </c>
    </row>
    <row r="7" spans="1:22" ht="13.5" thickBot="1" x14ac:dyDescent="0.25">
      <c r="A7" s="40" t="s">
        <v>20</v>
      </c>
      <c r="B7" s="41">
        <v>4194750</v>
      </c>
      <c r="C7" s="41">
        <v>406033</v>
      </c>
      <c r="D7" s="41">
        <v>136771</v>
      </c>
      <c r="E7" s="41">
        <v>707370</v>
      </c>
      <c r="F7" s="42">
        <v>2291448</v>
      </c>
      <c r="G7" s="43">
        <f>SUM(B7:F7)</f>
        <v>7736372</v>
      </c>
      <c r="H7" s="44"/>
      <c r="I7" s="44">
        <v>61096</v>
      </c>
      <c r="J7" s="45">
        <v>12166</v>
      </c>
      <c r="K7" s="46">
        <v>2648</v>
      </c>
      <c r="L7" s="47">
        <v>12882</v>
      </c>
      <c r="M7" s="48">
        <f>1737134+27117+1561+4068</f>
        <v>1769880</v>
      </c>
      <c r="N7" s="49">
        <f>502176+1091421+6937</f>
        <v>1600534</v>
      </c>
      <c r="O7" s="50">
        <f>SUM(L7:N7)</f>
        <v>3383296</v>
      </c>
      <c r="P7" s="51">
        <f>2862630+1194+16576</f>
        <v>2880400</v>
      </c>
      <c r="Q7" s="52">
        <f>O7+P7+J7+H7+I7+K7</f>
        <v>6339606</v>
      </c>
      <c r="R7" s="53">
        <v>42229</v>
      </c>
      <c r="S7" s="53">
        <v>16558</v>
      </c>
      <c r="T7" s="53">
        <v>24138</v>
      </c>
      <c r="U7" s="52">
        <f>R7+T7+S7</f>
        <v>82925</v>
      </c>
      <c r="V7" s="54">
        <v>30437765</v>
      </c>
    </row>
    <row r="8" spans="1:22" ht="13.5" thickBot="1" x14ac:dyDescent="0.25">
      <c r="A8" s="55" t="s">
        <v>21</v>
      </c>
      <c r="B8" s="56">
        <v>3413500</v>
      </c>
      <c r="C8" s="56">
        <v>351729</v>
      </c>
      <c r="D8" s="56">
        <v>105901</v>
      </c>
      <c r="E8" s="56">
        <v>560720</v>
      </c>
      <c r="F8" s="57">
        <v>1858327</v>
      </c>
      <c r="G8" s="43">
        <f t="shared" ref="G8:G18" si="0">SUM(B8:F8)</f>
        <v>6290177</v>
      </c>
      <c r="H8" s="56"/>
      <c r="I8" s="56">
        <v>52807</v>
      </c>
      <c r="J8" s="58">
        <v>10626</v>
      </c>
      <c r="K8" s="59">
        <v>2475</v>
      </c>
      <c r="L8" s="47">
        <v>13535</v>
      </c>
      <c r="M8" s="48">
        <f>1546437+26620+1027+3510</f>
        <v>1577594</v>
      </c>
      <c r="N8" s="47">
        <f>519025+989320+2017</f>
        <v>1510362</v>
      </c>
      <c r="O8" s="50">
        <f t="shared" ref="O8:O18" si="1">SUM(L8:N8)</f>
        <v>3101491</v>
      </c>
      <c r="P8" s="60">
        <f>2645754+1248+12273</f>
        <v>2659275</v>
      </c>
      <c r="Q8" s="52">
        <f t="shared" ref="Q8:Q18" si="2">O8+P8+J8+H8+I8+K8</f>
        <v>5826674</v>
      </c>
      <c r="R8" s="48">
        <v>38443</v>
      </c>
      <c r="S8" s="48">
        <v>14737</v>
      </c>
      <c r="T8" s="48">
        <v>21088</v>
      </c>
      <c r="U8" s="52">
        <f t="shared" ref="U8:U18" si="3">R8+T8+S8</f>
        <v>74268</v>
      </c>
      <c r="V8" s="61">
        <v>23494910</v>
      </c>
    </row>
    <row r="9" spans="1:22" ht="13.5" thickBot="1" x14ac:dyDescent="0.25">
      <c r="A9" s="55" t="s">
        <v>22</v>
      </c>
      <c r="B9" s="56">
        <v>3192720</v>
      </c>
      <c r="C9" s="56">
        <v>278982</v>
      </c>
      <c r="D9" s="56">
        <v>98355</v>
      </c>
      <c r="E9" s="56">
        <v>526721</v>
      </c>
      <c r="F9" s="57">
        <v>1782117</v>
      </c>
      <c r="G9" s="43">
        <f t="shared" si="0"/>
        <v>5878895</v>
      </c>
      <c r="H9" s="56"/>
      <c r="I9" s="56">
        <v>56898</v>
      </c>
      <c r="J9" s="58">
        <v>11627</v>
      </c>
      <c r="K9" s="59">
        <v>2856</v>
      </c>
      <c r="L9" s="47">
        <v>15084</v>
      </c>
      <c r="M9" s="48">
        <f>1331816+23492+588+3021</f>
        <v>1358917</v>
      </c>
      <c r="N9" s="47">
        <f>455890+856105+5886</f>
        <v>1317881</v>
      </c>
      <c r="O9" s="50">
        <f t="shared" si="1"/>
        <v>2691882</v>
      </c>
      <c r="P9" s="60">
        <f>2048356+953+8829</f>
        <v>2058138</v>
      </c>
      <c r="Q9" s="52">
        <f t="shared" si="2"/>
        <v>4821401</v>
      </c>
      <c r="R9" s="48">
        <v>38899</v>
      </c>
      <c r="S9" s="48">
        <v>18057</v>
      </c>
      <c r="T9" s="48">
        <v>24390</v>
      </c>
      <c r="U9" s="52">
        <f t="shared" si="3"/>
        <v>81346</v>
      </c>
      <c r="V9" s="61">
        <v>20253382</v>
      </c>
    </row>
    <row r="10" spans="1:22" ht="13.5" thickBot="1" x14ac:dyDescent="0.25">
      <c r="A10" s="55" t="s">
        <v>23</v>
      </c>
      <c r="B10" s="56">
        <v>2664200</v>
      </c>
      <c r="C10" s="56">
        <v>170293</v>
      </c>
      <c r="D10" s="56">
        <v>88293</v>
      </c>
      <c r="E10" s="56">
        <v>442435</v>
      </c>
      <c r="F10" s="57">
        <v>1736007</v>
      </c>
      <c r="G10" s="43">
        <f t="shared" si="0"/>
        <v>5101228</v>
      </c>
      <c r="H10" s="62"/>
      <c r="I10" s="56">
        <v>48886</v>
      </c>
      <c r="J10" s="58">
        <v>11353</v>
      </c>
      <c r="K10" s="59">
        <v>2869</v>
      </c>
      <c r="L10" s="63">
        <v>16306</v>
      </c>
      <c r="M10" s="48">
        <f>1106310+18594+665+3001</f>
        <v>1128570</v>
      </c>
      <c r="N10" s="47">
        <f>366577+913856+2975</f>
        <v>1283408</v>
      </c>
      <c r="O10" s="50">
        <f t="shared" si="1"/>
        <v>2428284</v>
      </c>
      <c r="P10" s="60">
        <f>2022967+1155+8553</f>
        <v>2032675</v>
      </c>
      <c r="Q10" s="52">
        <f t="shared" si="2"/>
        <v>4524067</v>
      </c>
      <c r="R10" s="48">
        <v>26263</v>
      </c>
      <c r="S10" s="48">
        <v>16022</v>
      </c>
      <c r="T10" s="48">
        <v>23416</v>
      </c>
      <c r="U10" s="52">
        <f t="shared" si="3"/>
        <v>65701</v>
      </c>
      <c r="V10" s="61">
        <v>15698620</v>
      </c>
    </row>
    <row r="11" spans="1:22" ht="13.5" thickBot="1" x14ac:dyDescent="0.25">
      <c r="A11" s="55" t="s">
        <v>24</v>
      </c>
      <c r="B11" s="56">
        <v>3039580</v>
      </c>
      <c r="C11" s="56">
        <v>80200</v>
      </c>
      <c r="D11" s="56">
        <v>77921</v>
      </c>
      <c r="E11" s="56">
        <v>376722</v>
      </c>
      <c r="F11" s="57">
        <v>766274</v>
      </c>
      <c r="G11" s="43">
        <f t="shared" si="0"/>
        <v>4340697</v>
      </c>
      <c r="H11" s="56"/>
      <c r="I11" s="56">
        <v>34683</v>
      </c>
      <c r="J11" s="58">
        <v>10900</v>
      </c>
      <c r="K11" s="59">
        <v>3080</v>
      </c>
      <c r="L11" s="47">
        <v>13942</v>
      </c>
      <c r="M11" s="48">
        <f>920321+14191+6028+1971</f>
        <v>942511</v>
      </c>
      <c r="N11" s="47">
        <f>279877+897304+1593</f>
        <v>1178774</v>
      </c>
      <c r="O11" s="50">
        <f t="shared" si="1"/>
        <v>2135227</v>
      </c>
      <c r="P11" s="60">
        <f>1735776+1008+7460</f>
        <v>1744244</v>
      </c>
      <c r="Q11" s="52">
        <f t="shared" si="2"/>
        <v>3928134</v>
      </c>
      <c r="R11" s="48">
        <v>9016</v>
      </c>
      <c r="S11" s="48">
        <v>8739</v>
      </c>
      <c r="T11" s="48">
        <v>13058</v>
      </c>
      <c r="U11" s="52">
        <f t="shared" si="3"/>
        <v>30813</v>
      </c>
      <c r="V11" s="61">
        <v>9837448</v>
      </c>
    </row>
    <row r="12" spans="1:22" ht="13.5" thickBot="1" x14ac:dyDescent="0.25">
      <c r="A12" s="55" t="s">
        <v>25</v>
      </c>
      <c r="B12" s="56">
        <v>3302560</v>
      </c>
      <c r="C12" s="56">
        <v>39728</v>
      </c>
      <c r="D12" s="56">
        <v>66983</v>
      </c>
      <c r="E12" s="56">
        <v>300638</v>
      </c>
      <c r="F12" s="57">
        <v>340526</v>
      </c>
      <c r="G12" s="43">
        <f t="shared" si="0"/>
        <v>4050435</v>
      </c>
      <c r="H12" s="56"/>
      <c r="I12" s="56">
        <v>18292</v>
      </c>
      <c r="J12" s="58">
        <v>10968</v>
      </c>
      <c r="K12" s="59">
        <v>3050</v>
      </c>
      <c r="L12" s="47">
        <v>12882</v>
      </c>
      <c r="M12" s="48">
        <f>914000+13431+8784+1838</f>
        <v>938053</v>
      </c>
      <c r="N12" s="47">
        <f>230828+967415+765</f>
        <v>1199008</v>
      </c>
      <c r="O12" s="50">
        <f t="shared" si="1"/>
        <v>2149943</v>
      </c>
      <c r="P12" s="60">
        <f>1510697+975+10559</f>
        <v>1522231</v>
      </c>
      <c r="Q12" s="52">
        <f t="shared" si="2"/>
        <v>3704484</v>
      </c>
      <c r="R12" s="48">
        <v>21759</v>
      </c>
      <c r="S12" s="48">
        <v>108</v>
      </c>
      <c r="T12" s="48">
        <v>540</v>
      </c>
      <c r="U12" s="52">
        <f t="shared" si="3"/>
        <v>22407</v>
      </c>
      <c r="V12" s="61">
        <v>3201207</v>
      </c>
    </row>
    <row r="13" spans="1:22" ht="13.5" thickBot="1" x14ac:dyDescent="0.25">
      <c r="A13" s="55" t="s">
        <v>26</v>
      </c>
      <c r="B13" s="56">
        <v>3434630</v>
      </c>
      <c r="C13" s="56">
        <v>29313</v>
      </c>
      <c r="D13" s="56">
        <v>60902</v>
      </c>
      <c r="E13" s="56">
        <v>297906</v>
      </c>
      <c r="F13" s="57" t="s">
        <v>27</v>
      </c>
      <c r="G13" s="43">
        <f t="shared" si="0"/>
        <v>3822751</v>
      </c>
      <c r="H13" s="56"/>
      <c r="I13" s="56">
        <v>15175</v>
      </c>
      <c r="J13" s="58">
        <v>11545</v>
      </c>
      <c r="K13" s="59">
        <v>3424</v>
      </c>
      <c r="L13" s="47">
        <v>11496</v>
      </c>
      <c r="M13" s="48">
        <f>862113+7284+7823+1410</f>
        <v>878630</v>
      </c>
      <c r="N13" s="47">
        <f>227568+957551+529</f>
        <v>1185648</v>
      </c>
      <c r="O13" s="50">
        <f t="shared" si="1"/>
        <v>2075774</v>
      </c>
      <c r="P13" s="60">
        <f>1321514+1473+7763</f>
        <v>1330750</v>
      </c>
      <c r="Q13" s="52">
        <f t="shared" si="2"/>
        <v>3436668</v>
      </c>
      <c r="R13" s="48">
        <v>11457</v>
      </c>
      <c r="S13" s="48">
        <v>0</v>
      </c>
      <c r="T13" s="48">
        <v>406</v>
      </c>
      <c r="U13" s="52">
        <f t="shared" si="3"/>
        <v>11863</v>
      </c>
      <c r="V13" s="61">
        <v>5164665</v>
      </c>
    </row>
    <row r="14" spans="1:22" ht="13.5" thickBot="1" x14ac:dyDescent="0.25">
      <c r="A14" s="55" t="s">
        <v>28</v>
      </c>
      <c r="B14" s="56">
        <v>3491710</v>
      </c>
      <c r="C14" s="56">
        <v>32229</v>
      </c>
      <c r="D14" s="56">
        <v>62699</v>
      </c>
      <c r="E14" s="56">
        <v>302972</v>
      </c>
      <c r="F14" s="57" t="s">
        <v>27</v>
      </c>
      <c r="G14" s="43">
        <f t="shared" si="0"/>
        <v>3889610</v>
      </c>
      <c r="H14" s="56"/>
      <c r="I14" s="56">
        <v>18418</v>
      </c>
      <c r="J14" s="58">
        <v>11576</v>
      </c>
      <c r="K14" s="59">
        <v>3513</v>
      </c>
      <c r="L14" s="47">
        <v>12066</v>
      </c>
      <c r="M14" s="48">
        <f>877928+3729+7777+1055</f>
        <v>890489</v>
      </c>
      <c r="N14" s="47">
        <f>239889+921425+600</f>
        <v>1161914</v>
      </c>
      <c r="O14" s="50">
        <f t="shared" si="1"/>
        <v>2064469</v>
      </c>
      <c r="P14" s="60">
        <f>1376407+1233+8077</f>
        <v>1385717</v>
      </c>
      <c r="Q14" s="52">
        <f t="shared" si="2"/>
        <v>3483693</v>
      </c>
      <c r="R14" s="48">
        <v>11202</v>
      </c>
      <c r="S14" s="48">
        <v>43</v>
      </c>
      <c r="T14" s="48">
        <v>461</v>
      </c>
      <c r="U14" s="52">
        <f t="shared" si="3"/>
        <v>11706</v>
      </c>
      <c r="V14" s="61">
        <v>5016076</v>
      </c>
    </row>
    <row r="15" spans="1:22" ht="13.5" thickBot="1" x14ac:dyDescent="0.25">
      <c r="A15" s="55" t="s">
        <v>29</v>
      </c>
      <c r="B15" s="56">
        <v>3964230</v>
      </c>
      <c r="C15" s="56">
        <v>56829</v>
      </c>
      <c r="D15" s="56">
        <v>72445</v>
      </c>
      <c r="E15" s="56">
        <v>370722</v>
      </c>
      <c r="F15" s="57" t="s">
        <v>27</v>
      </c>
      <c r="G15" s="43">
        <f t="shared" si="0"/>
        <v>4464226</v>
      </c>
      <c r="H15" s="56"/>
      <c r="I15" s="56">
        <v>25479</v>
      </c>
      <c r="J15" s="58">
        <v>10657</v>
      </c>
      <c r="K15" s="59">
        <v>3060</v>
      </c>
      <c r="L15" s="47">
        <v>11088</v>
      </c>
      <c r="M15" s="48">
        <f>923312+13502+6429+1481</f>
        <v>944724</v>
      </c>
      <c r="N15" s="47">
        <f>262564+985921+643</f>
        <v>1249128</v>
      </c>
      <c r="O15" s="50">
        <f t="shared" si="1"/>
        <v>2204940</v>
      </c>
      <c r="P15" s="60">
        <f>1602432+1361+7442</f>
        <v>1611235</v>
      </c>
      <c r="Q15" s="52">
        <f t="shared" si="2"/>
        <v>3855371</v>
      </c>
      <c r="R15" s="48">
        <v>18259</v>
      </c>
      <c r="S15" s="48">
        <v>6661</v>
      </c>
      <c r="T15" s="48">
        <v>11181</v>
      </c>
      <c r="U15" s="52">
        <f t="shared" si="3"/>
        <v>36101</v>
      </c>
      <c r="V15" s="61">
        <v>8804380</v>
      </c>
    </row>
    <row r="16" spans="1:22" ht="13.5" thickBot="1" x14ac:dyDescent="0.25">
      <c r="A16" s="55" t="s">
        <v>30</v>
      </c>
      <c r="B16" s="56">
        <v>4672400</v>
      </c>
      <c r="C16" s="56">
        <v>103102</v>
      </c>
      <c r="D16" s="56">
        <v>92683</v>
      </c>
      <c r="E16" s="56">
        <v>460694</v>
      </c>
      <c r="F16" s="57" t="s">
        <v>27</v>
      </c>
      <c r="G16" s="43">
        <f t="shared" si="0"/>
        <v>5328879</v>
      </c>
      <c r="H16" s="56"/>
      <c r="I16" s="56">
        <v>48245</v>
      </c>
      <c r="J16" s="56">
        <v>10608</v>
      </c>
      <c r="K16" s="58">
        <v>2886</v>
      </c>
      <c r="L16" s="47">
        <v>13942</v>
      </c>
      <c r="M16" s="48">
        <f>1067886+20820+4083+1836</f>
        <v>1094625</v>
      </c>
      <c r="N16" s="47">
        <f>323289+919747+3593</f>
        <v>1246629</v>
      </c>
      <c r="O16" s="50">
        <f t="shared" si="1"/>
        <v>2355196</v>
      </c>
      <c r="P16" s="60">
        <f>1916611+1315+8726</f>
        <v>1926652</v>
      </c>
      <c r="Q16" s="52">
        <f t="shared" si="2"/>
        <v>4343587</v>
      </c>
      <c r="R16" s="48">
        <v>29104</v>
      </c>
      <c r="S16" s="48">
        <v>16151</v>
      </c>
      <c r="T16" s="48">
        <v>23270</v>
      </c>
      <c r="U16" s="52">
        <f t="shared" si="3"/>
        <v>68525</v>
      </c>
      <c r="V16" s="61">
        <v>15869242</v>
      </c>
    </row>
    <row r="17" spans="1:23" ht="13.5" thickBot="1" x14ac:dyDescent="0.25">
      <c r="A17" s="55" t="s">
        <v>31</v>
      </c>
      <c r="B17" s="56">
        <v>4366490</v>
      </c>
      <c r="C17" s="56">
        <v>159346</v>
      </c>
      <c r="D17" s="56">
        <v>103076</v>
      </c>
      <c r="E17" s="56">
        <v>509776</v>
      </c>
      <c r="F17" s="57">
        <v>729056</v>
      </c>
      <c r="G17" s="43">
        <f t="shared" si="0"/>
        <v>5867744</v>
      </c>
      <c r="H17" s="56"/>
      <c r="I17" s="56">
        <v>49329</v>
      </c>
      <c r="J17" s="56">
        <v>12177</v>
      </c>
      <c r="K17" s="58">
        <v>2748</v>
      </c>
      <c r="L17" s="47">
        <v>14839</v>
      </c>
      <c r="M17" s="48">
        <f>1302554+26614+402+1895</f>
        <v>1331465</v>
      </c>
      <c r="N17" s="47">
        <f>366737+1042161+4684</f>
        <v>1413582</v>
      </c>
      <c r="O17" s="50">
        <f t="shared" si="1"/>
        <v>2759886</v>
      </c>
      <c r="P17" s="60">
        <f>2233237+1270+13206</f>
        <v>2247713</v>
      </c>
      <c r="Q17" s="52">
        <f t="shared" si="2"/>
        <v>5071853</v>
      </c>
      <c r="R17" s="48">
        <v>34226</v>
      </c>
      <c r="S17" s="48">
        <v>15829</v>
      </c>
      <c r="T17" s="48">
        <v>24641</v>
      </c>
      <c r="U17" s="52">
        <f t="shared" si="3"/>
        <v>74696</v>
      </c>
      <c r="V17" s="61">
        <v>18940493</v>
      </c>
    </row>
    <row r="18" spans="1:23" ht="13.5" thickBot="1" x14ac:dyDescent="0.25">
      <c r="A18" s="64" t="s">
        <v>32</v>
      </c>
      <c r="B18" s="65">
        <v>3759250</v>
      </c>
      <c r="C18" s="65">
        <v>176505</v>
      </c>
      <c r="D18" s="66">
        <v>111604</v>
      </c>
      <c r="E18" s="66">
        <v>606270</v>
      </c>
      <c r="F18" s="67">
        <v>2021794</v>
      </c>
      <c r="G18" s="43">
        <f t="shared" si="0"/>
        <v>6675423</v>
      </c>
      <c r="H18" s="56"/>
      <c r="I18" s="56">
        <v>50863</v>
      </c>
      <c r="J18" s="56">
        <v>11673</v>
      </c>
      <c r="K18" s="58">
        <v>2813</v>
      </c>
      <c r="L18" s="68">
        <v>16795</v>
      </c>
      <c r="M18" s="69">
        <f>1665279+28728+0+2552</f>
        <v>1696559</v>
      </c>
      <c r="N18" s="70">
        <f>430933+899921+4586</f>
        <v>1335440</v>
      </c>
      <c r="O18" s="50">
        <f t="shared" si="1"/>
        <v>3048794</v>
      </c>
      <c r="P18" s="71">
        <f>2344797+1138+14369</f>
        <v>2360304</v>
      </c>
      <c r="Q18" s="52">
        <f t="shared" si="2"/>
        <v>5474447</v>
      </c>
      <c r="R18" s="69">
        <v>41399</v>
      </c>
      <c r="S18" s="69">
        <v>15979</v>
      </c>
      <c r="T18" s="69">
        <v>22871</v>
      </c>
      <c r="U18" s="52">
        <f t="shared" si="3"/>
        <v>80249</v>
      </c>
      <c r="V18" s="72">
        <v>23593070</v>
      </c>
    </row>
    <row r="19" spans="1:23" ht="13.5" thickBot="1" x14ac:dyDescent="0.25">
      <c r="A19" s="73" t="s">
        <v>33</v>
      </c>
      <c r="B19" s="66">
        <f t="shared" ref="B19:K19" si="4">SUM(B7:B18)</f>
        <v>43496020</v>
      </c>
      <c r="C19" s="66">
        <f t="shared" si="4"/>
        <v>1884289</v>
      </c>
      <c r="D19" s="74">
        <f t="shared" si="4"/>
        <v>1077633</v>
      </c>
      <c r="E19" s="74">
        <f t="shared" si="4"/>
        <v>5462946</v>
      </c>
      <c r="F19" s="75">
        <f t="shared" si="4"/>
        <v>11525549</v>
      </c>
      <c r="G19" s="76">
        <f t="shared" si="4"/>
        <v>63446437</v>
      </c>
      <c r="H19" s="77">
        <f t="shared" si="4"/>
        <v>0</v>
      </c>
      <c r="I19" s="77">
        <f t="shared" si="4"/>
        <v>480171</v>
      </c>
      <c r="J19" s="77">
        <f t="shared" si="4"/>
        <v>135876</v>
      </c>
      <c r="K19" s="77">
        <f t="shared" si="4"/>
        <v>35422</v>
      </c>
      <c r="L19" s="78">
        <f t="shared" ref="L19:T19" si="5">SUM(L7:L18)</f>
        <v>164857</v>
      </c>
      <c r="M19" s="79">
        <f>SUM(M7:M18)</f>
        <v>14552017</v>
      </c>
      <c r="N19" s="80">
        <f t="shared" si="5"/>
        <v>15682308</v>
      </c>
      <c r="O19" s="76">
        <f t="shared" si="5"/>
        <v>30399182</v>
      </c>
      <c r="P19" s="76">
        <f t="shared" si="5"/>
        <v>23759334</v>
      </c>
      <c r="Q19" s="81">
        <f>SUM(Q7:Q18)</f>
        <v>54809985</v>
      </c>
      <c r="R19" s="82">
        <f t="shared" si="5"/>
        <v>322256</v>
      </c>
      <c r="S19" s="83">
        <f>SUM(S7:S18)</f>
        <v>128884</v>
      </c>
      <c r="T19" s="82">
        <f t="shared" si="5"/>
        <v>189460</v>
      </c>
      <c r="U19" s="81">
        <f>SUM(U7:U18)</f>
        <v>640600</v>
      </c>
      <c r="V19" s="76">
        <f>SUM(V7:V18)</f>
        <v>180311258</v>
      </c>
    </row>
    <row r="20" spans="1:23" ht="13.5" thickBot="1" x14ac:dyDescent="0.25">
      <c r="A20" s="84"/>
      <c r="B20" s="85">
        <f>B19+C19</f>
        <v>45380309</v>
      </c>
      <c r="C20" s="86"/>
      <c r="D20" s="87">
        <f>D19+E19</f>
        <v>6540579</v>
      </c>
      <c r="E20" s="88"/>
      <c r="F20" s="89">
        <f>F19</f>
        <v>11525549</v>
      </c>
      <c r="G20" s="90"/>
      <c r="H20" s="91">
        <f>H19+K19+J19+I19</f>
        <v>651469</v>
      </c>
      <c r="I20" s="92"/>
      <c r="J20" s="93"/>
      <c r="K20" s="94"/>
      <c r="L20" s="95"/>
      <c r="M20" s="96"/>
      <c r="N20" s="97"/>
      <c r="O20" s="90"/>
      <c r="P20" s="90"/>
      <c r="Q20" s="90"/>
      <c r="R20" s="95"/>
      <c r="S20" s="98"/>
      <c r="T20" s="95"/>
      <c r="U20" s="90"/>
      <c r="V20" s="90"/>
    </row>
    <row r="21" spans="1:2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3" ht="13.5" thickBo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99"/>
      <c r="R23" s="2"/>
      <c r="S23" s="2"/>
      <c r="T23" s="2"/>
      <c r="U23" s="2"/>
      <c r="V23" s="2"/>
    </row>
    <row r="24" spans="1:23" x14ac:dyDescent="0.2">
      <c r="A24" s="3" t="s">
        <v>1</v>
      </c>
      <c r="B24" s="100" t="s">
        <v>34</v>
      </c>
      <c r="C24" s="101"/>
      <c r="D24" s="101"/>
      <c r="E24" s="102"/>
      <c r="F24" s="103" t="s">
        <v>35</v>
      </c>
      <c r="G24" s="2"/>
      <c r="H24" s="2"/>
      <c r="I24" s="2"/>
      <c r="J24" s="2"/>
      <c r="K24" s="104" t="s">
        <v>36</v>
      </c>
      <c r="L24" s="2"/>
      <c r="M24" s="2"/>
      <c r="N24" s="105" t="s">
        <v>1</v>
      </c>
      <c r="O24" s="105" t="s">
        <v>37</v>
      </c>
      <c r="P24" s="2"/>
      <c r="Q24" s="106"/>
      <c r="R24" s="106"/>
      <c r="S24" s="106"/>
      <c r="T24" s="106"/>
      <c r="U24" s="2" t="s">
        <v>38</v>
      </c>
      <c r="V24" s="2"/>
    </row>
    <row r="25" spans="1:23" ht="13.5" thickBot="1" x14ac:dyDescent="0.25">
      <c r="A25" s="14"/>
      <c r="B25" s="107"/>
      <c r="C25" s="108"/>
      <c r="D25" s="108"/>
      <c r="E25" s="109"/>
      <c r="F25" s="110"/>
      <c r="G25" s="2"/>
      <c r="H25" s="2"/>
      <c r="I25" s="2"/>
      <c r="J25" s="2"/>
      <c r="K25" s="104"/>
      <c r="L25" s="2"/>
      <c r="M25" s="2"/>
      <c r="N25" s="105"/>
      <c r="O25" s="105"/>
      <c r="P25" s="2"/>
      <c r="Q25" s="111" t="s">
        <v>39</v>
      </c>
      <c r="R25" s="111"/>
      <c r="S25" s="111"/>
      <c r="T25" s="111"/>
      <c r="U25" s="99">
        <f>Q7-I7</f>
        <v>6278510</v>
      </c>
      <c r="V25" s="112">
        <v>1</v>
      </c>
      <c r="W25" s="113"/>
    </row>
    <row r="26" spans="1:23" ht="13.5" thickBot="1" x14ac:dyDescent="0.25">
      <c r="A26" s="114"/>
      <c r="B26" s="36" t="s">
        <v>13</v>
      </c>
      <c r="C26" s="36" t="s">
        <v>15</v>
      </c>
      <c r="D26" s="36" t="s">
        <v>14</v>
      </c>
      <c r="E26" s="37" t="s">
        <v>9</v>
      </c>
      <c r="F26" s="115"/>
      <c r="G26" s="116"/>
      <c r="H26" s="116"/>
      <c r="I26" s="116"/>
      <c r="J26" s="116"/>
      <c r="K26" s="104"/>
      <c r="L26" s="2" t="s">
        <v>40</v>
      </c>
      <c r="M26" s="2"/>
      <c r="N26" s="105"/>
      <c r="O26" s="105"/>
      <c r="P26" s="2"/>
      <c r="Q26" s="117" t="s">
        <v>41</v>
      </c>
      <c r="R26" s="117" t="s">
        <v>42</v>
      </c>
      <c r="S26" s="2"/>
      <c r="T26" s="2"/>
      <c r="U26" s="99">
        <f>Q8-I8</f>
        <v>5773867</v>
      </c>
      <c r="V26" s="112">
        <v>2</v>
      </c>
    </row>
    <row r="27" spans="1:23" ht="13.5" thickBot="1" x14ac:dyDescent="0.25">
      <c r="A27" s="118" t="s">
        <v>20</v>
      </c>
      <c r="B27" s="119">
        <v>1100495</v>
      </c>
      <c r="C27" s="119">
        <v>23340</v>
      </c>
      <c r="D27" s="119">
        <v>190006</v>
      </c>
      <c r="E27" s="120">
        <f>B27+C27+D27</f>
        <v>1313841</v>
      </c>
      <c r="F27" s="121">
        <f>ROUND((E27*100/(G7-H7-I7-J7-K7)),2)</f>
        <v>17.149999999999999</v>
      </c>
      <c r="G27" s="122">
        <f t="shared" ref="G27:G38" si="6">E27+U7+Q7</f>
        <v>7736372</v>
      </c>
      <c r="H27" s="122"/>
      <c r="I27" s="122"/>
      <c r="J27" s="122"/>
      <c r="K27" s="99">
        <f>G7-(Q7+U7)</f>
        <v>1313841</v>
      </c>
      <c r="L27" s="123" t="str">
        <f t="shared" ref="L27:L38" si="7">IF(E27-K27,"нет","да")</f>
        <v>да</v>
      </c>
      <c r="M27" s="2"/>
      <c r="N27" s="124" t="s">
        <v>20</v>
      </c>
      <c r="O27" s="125">
        <f>B7+C7-R7-S7</f>
        <v>4541996</v>
      </c>
      <c r="P27" s="2"/>
      <c r="Q27" s="99">
        <f>(L7+M7+H7+I7+J7)/Q7*E27</f>
        <v>384648.57724344381</v>
      </c>
      <c r="R27" s="99">
        <f>(N7+P7+K7)/Q7*E27</f>
        <v>929192.42275655607</v>
      </c>
      <c r="S27" s="2" t="str">
        <f>IF(((Q27+R27)-K27),"нет","да")</f>
        <v>да</v>
      </c>
      <c r="T27" s="2"/>
      <c r="U27" s="99">
        <f t="shared" ref="U27:U36" si="8">Q9-I9</f>
        <v>4764503</v>
      </c>
      <c r="V27" s="112">
        <v>3</v>
      </c>
    </row>
    <row r="28" spans="1:23" ht="13.5" thickBot="1" x14ac:dyDescent="0.25">
      <c r="A28" s="118" t="s">
        <v>21</v>
      </c>
      <c r="B28" s="126">
        <v>326220</v>
      </c>
      <c r="C28" s="126">
        <v>6553</v>
      </c>
      <c r="D28" s="126">
        <v>56462</v>
      </c>
      <c r="E28" s="120">
        <f t="shared" ref="E28:E38" si="9">B28+C28+D28</f>
        <v>389235</v>
      </c>
      <c r="F28" s="121">
        <f t="shared" ref="F28:F38" si="10">ROUND((E28*100/(G8-H8-I8-J8-K8)),2)</f>
        <v>6.25</v>
      </c>
      <c r="G28" s="122">
        <f t="shared" si="6"/>
        <v>6290177</v>
      </c>
      <c r="H28" s="122"/>
      <c r="I28" s="122"/>
      <c r="J28" s="122"/>
      <c r="K28" s="99">
        <f t="shared" ref="K28:K38" si="11">G8-(Q8+U8)</f>
        <v>389235</v>
      </c>
      <c r="L28" s="123" t="str">
        <f t="shared" si="7"/>
        <v>да</v>
      </c>
      <c r="M28" s="2"/>
      <c r="N28" s="124" t="s">
        <v>21</v>
      </c>
      <c r="O28" s="125">
        <f t="shared" ref="O28:O38" si="12">B8+C8-R8-S8</f>
        <v>3712049</v>
      </c>
      <c r="P28" s="2"/>
      <c r="Q28" s="99">
        <f t="shared" ref="Q28:Q38" si="13">(L8+M8+H8+I8+J8)/Q8*E28</f>
        <v>110528.48332856789</v>
      </c>
      <c r="R28" s="99">
        <f t="shared" ref="R28:R38" si="14">(N8+P8+K8)/Q8*E28</f>
        <v>278706.51667143212</v>
      </c>
      <c r="S28" s="2" t="str">
        <f t="shared" ref="S28:S38" si="15">IF(((Q28+R28)-K28),"нет","да")</f>
        <v>да</v>
      </c>
      <c r="T28" s="2"/>
      <c r="U28" s="99">
        <f t="shared" si="8"/>
        <v>4475181</v>
      </c>
      <c r="V28" s="112">
        <v>4</v>
      </c>
    </row>
    <row r="29" spans="1:23" ht="13.5" thickBot="1" x14ac:dyDescent="0.25">
      <c r="A29" s="118" t="s">
        <v>22</v>
      </c>
      <c r="B29" s="126">
        <v>826036</v>
      </c>
      <c r="C29" s="126">
        <v>16331</v>
      </c>
      <c r="D29" s="126">
        <v>133781</v>
      </c>
      <c r="E29" s="120">
        <f t="shared" si="9"/>
        <v>976148</v>
      </c>
      <c r="F29" s="121">
        <f t="shared" si="10"/>
        <v>16.809999999999999</v>
      </c>
      <c r="G29" s="122">
        <f t="shared" si="6"/>
        <v>5878895</v>
      </c>
      <c r="H29" s="122"/>
      <c r="I29" s="122"/>
      <c r="J29" s="122"/>
      <c r="K29" s="99">
        <f t="shared" si="11"/>
        <v>976148</v>
      </c>
      <c r="L29" s="123" t="str">
        <f t="shared" si="7"/>
        <v>да</v>
      </c>
      <c r="M29" s="2"/>
      <c r="N29" s="124" t="s">
        <v>22</v>
      </c>
      <c r="O29" s="125">
        <f t="shared" si="12"/>
        <v>3414746</v>
      </c>
      <c r="P29" s="2"/>
      <c r="Q29" s="99">
        <f t="shared" si="13"/>
        <v>292055.95424400503</v>
      </c>
      <c r="R29" s="99">
        <f t="shared" si="14"/>
        <v>684092.04575599497</v>
      </c>
      <c r="S29" s="2" t="str">
        <f t="shared" si="15"/>
        <v>да</v>
      </c>
      <c r="T29" s="2"/>
      <c r="U29" s="99">
        <f t="shared" si="8"/>
        <v>3893451</v>
      </c>
      <c r="V29" s="112">
        <v>5</v>
      </c>
    </row>
    <row r="30" spans="1:23" ht="13.5" thickBot="1" x14ac:dyDescent="0.25">
      <c r="A30" s="118" t="s">
        <v>23</v>
      </c>
      <c r="B30" s="126">
        <v>441174</v>
      </c>
      <c r="C30" s="126">
        <v>8852</v>
      </c>
      <c r="D30" s="127">
        <v>61434</v>
      </c>
      <c r="E30" s="120">
        <f t="shared" si="9"/>
        <v>511460</v>
      </c>
      <c r="F30" s="121">
        <f t="shared" si="10"/>
        <v>10.15</v>
      </c>
      <c r="G30" s="122">
        <f t="shared" si="6"/>
        <v>5101228</v>
      </c>
      <c r="H30" s="122"/>
      <c r="I30" s="122"/>
      <c r="J30" s="122"/>
      <c r="K30" s="99">
        <f t="shared" si="11"/>
        <v>511460</v>
      </c>
      <c r="L30" s="123" t="str">
        <f t="shared" si="7"/>
        <v>да</v>
      </c>
      <c r="M30" s="2"/>
      <c r="N30" s="124" t="s">
        <v>23</v>
      </c>
      <c r="O30" s="125">
        <f t="shared" si="12"/>
        <v>2792208</v>
      </c>
      <c r="P30" s="2"/>
      <c r="Q30" s="99">
        <f t="shared" si="13"/>
        <v>136242.04015988269</v>
      </c>
      <c r="R30" s="99">
        <f t="shared" si="14"/>
        <v>375217.95984011731</v>
      </c>
      <c r="S30" s="2" t="str">
        <f t="shared" si="15"/>
        <v>да</v>
      </c>
      <c r="T30" s="2"/>
      <c r="U30" s="99">
        <f t="shared" si="8"/>
        <v>3686192</v>
      </c>
      <c r="V30" s="112">
        <v>6</v>
      </c>
    </row>
    <row r="31" spans="1:23" ht="13.5" thickBot="1" x14ac:dyDescent="0.25">
      <c r="A31" s="118" t="s">
        <v>24</v>
      </c>
      <c r="B31" s="126">
        <v>334712</v>
      </c>
      <c r="C31" s="126">
        <v>6853</v>
      </c>
      <c r="D31" s="126">
        <v>40185</v>
      </c>
      <c r="E31" s="120">
        <f t="shared" si="9"/>
        <v>381750</v>
      </c>
      <c r="F31" s="121">
        <f t="shared" si="10"/>
        <v>8.89</v>
      </c>
      <c r="G31" s="122">
        <f t="shared" si="6"/>
        <v>4340697</v>
      </c>
      <c r="H31" s="122"/>
      <c r="I31" s="122"/>
      <c r="J31" s="122"/>
      <c r="K31" s="99">
        <f t="shared" si="11"/>
        <v>381750</v>
      </c>
      <c r="L31" s="123" t="str">
        <f t="shared" si="7"/>
        <v>да</v>
      </c>
      <c r="M31" s="2"/>
      <c r="N31" s="124" t="s">
        <v>24</v>
      </c>
      <c r="O31" s="125">
        <f t="shared" si="12"/>
        <v>3102025</v>
      </c>
      <c r="P31" s="2"/>
      <c r="Q31" s="99">
        <f t="shared" si="13"/>
        <v>97381.413923252112</v>
      </c>
      <c r="R31" s="99">
        <f t="shared" si="14"/>
        <v>284368.58607674792</v>
      </c>
      <c r="S31" s="2" t="str">
        <f t="shared" si="15"/>
        <v>да</v>
      </c>
      <c r="T31" s="2"/>
      <c r="U31" s="99">
        <f t="shared" si="8"/>
        <v>3421493</v>
      </c>
      <c r="V31" s="112">
        <v>7</v>
      </c>
    </row>
    <row r="32" spans="1:23" ht="13.5" thickBot="1" x14ac:dyDescent="0.25">
      <c r="A32" s="118" t="s">
        <v>25</v>
      </c>
      <c r="B32" s="126">
        <v>291005</v>
      </c>
      <c r="C32" s="126">
        <v>5351</v>
      </c>
      <c r="D32" s="126">
        <v>27188</v>
      </c>
      <c r="E32" s="120">
        <f t="shared" si="9"/>
        <v>323544</v>
      </c>
      <c r="F32" s="121">
        <f t="shared" si="10"/>
        <v>8.0500000000000007</v>
      </c>
      <c r="G32" s="122">
        <f t="shared" si="6"/>
        <v>4050435</v>
      </c>
      <c r="H32" s="122"/>
      <c r="I32" s="122"/>
      <c r="J32" s="122"/>
      <c r="K32" s="99">
        <f t="shared" si="11"/>
        <v>323544</v>
      </c>
      <c r="L32" s="123" t="str">
        <f t="shared" si="7"/>
        <v>да</v>
      </c>
      <c r="M32" s="2"/>
      <c r="N32" s="124" t="s">
        <v>25</v>
      </c>
      <c r="O32" s="125">
        <f t="shared" si="12"/>
        <v>3320421</v>
      </c>
      <c r="P32" s="2"/>
      <c r="Q32" s="99">
        <f t="shared" si="13"/>
        <v>85608.740942058328</v>
      </c>
      <c r="R32" s="99">
        <f t="shared" si="14"/>
        <v>237935.2590579417</v>
      </c>
      <c r="S32" s="2" t="str">
        <f t="shared" si="15"/>
        <v>да</v>
      </c>
      <c r="T32" s="2"/>
      <c r="U32" s="99">
        <f t="shared" si="8"/>
        <v>3465275</v>
      </c>
      <c r="V32" s="112">
        <v>8</v>
      </c>
    </row>
    <row r="33" spans="1:22" ht="13.5" thickBot="1" x14ac:dyDescent="0.25">
      <c r="A33" s="118" t="s">
        <v>26</v>
      </c>
      <c r="B33" s="128">
        <v>336226</v>
      </c>
      <c r="C33" s="128">
        <v>5962</v>
      </c>
      <c r="D33" s="128">
        <v>32032</v>
      </c>
      <c r="E33" s="120">
        <f t="shared" si="9"/>
        <v>374220</v>
      </c>
      <c r="F33" s="121">
        <f t="shared" si="10"/>
        <v>9.8699999999999992</v>
      </c>
      <c r="G33" s="122">
        <f t="shared" si="6"/>
        <v>3822751</v>
      </c>
      <c r="H33" s="122"/>
      <c r="I33" s="122"/>
      <c r="J33" s="122"/>
      <c r="K33" s="99">
        <f t="shared" si="11"/>
        <v>374220</v>
      </c>
      <c r="L33" s="123" t="str">
        <f t="shared" si="7"/>
        <v>да</v>
      </c>
      <c r="M33" s="2"/>
      <c r="N33" s="124" t="s">
        <v>26</v>
      </c>
      <c r="O33" s="125">
        <f t="shared" si="12"/>
        <v>3452486</v>
      </c>
      <c r="P33" s="2"/>
      <c r="Q33" s="99">
        <f t="shared" si="13"/>
        <v>99835.686810596773</v>
      </c>
      <c r="R33" s="99">
        <f t="shared" si="14"/>
        <v>274384.31318940321</v>
      </c>
      <c r="S33" s="2" t="str">
        <f t="shared" si="15"/>
        <v>да</v>
      </c>
      <c r="T33" s="2"/>
      <c r="U33" s="99">
        <f t="shared" si="8"/>
        <v>3829892</v>
      </c>
      <c r="V33" s="112">
        <v>9</v>
      </c>
    </row>
    <row r="34" spans="1:22" ht="13.5" thickBot="1" x14ac:dyDescent="0.25">
      <c r="A34" s="118" t="s">
        <v>28</v>
      </c>
      <c r="B34" s="128">
        <v>353884</v>
      </c>
      <c r="C34" s="128">
        <v>6355</v>
      </c>
      <c r="D34" s="128">
        <v>33972</v>
      </c>
      <c r="E34" s="120">
        <f t="shared" si="9"/>
        <v>394211</v>
      </c>
      <c r="F34" s="121">
        <f t="shared" si="10"/>
        <v>10.220000000000001</v>
      </c>
      <c r="G34" s="122">
        <f t="shared" si="6"/>
        <v>3889610</v>
      </c>
      <c r="H34" s="122"/>
      <c r="I34" s="122"/>
      <c r="J34" s="122"/>
      <c r="K34" s="99">
        <f t="shared" si="11"/>
        <v>394211</v>
      </c>
      <c r="L34" s="123" t="str">
        <f t="shared" si="7"/>
        <v>да</v>
      </c>
      <c r="M34" s="2"/>
      <c r="N34" s="124" t="s">
        <v>28</v>
      </c>
      <c r="O34" s="125">
        <f t="shared" si="12"/>
        <v>3512694</v>
      </c>
      <c r="P34" s="2"/>
      <c r="Q34" s="99">
        <f t="shared" si="13"/>
        <v>105526.25441995033</v>
      </c>
      <c r="R34" s="99">
        <f t="shared" si="14"/>
        <v>288684.7455800497</v>
      </c>
      <c r="S34" s="2" t="str">
        <f t="shared" si="15"/>
        <v>да</v>
      </c>
      <c r="T34" s="2"/>
      <c r="U34" s="99">
        <f t="shared" si="8"/>
        <v>4295342</v>
      </c>
      <c r="V34" s="112">
        <v>10</v>
      </c>
    </row>
    <row r="35" spans="1:22" ht="13.5" thickBot="1" x14ac:dyDescent="0.25">
      <c r="A35" s="118" t="s">
        <v>29</v>
      </c>
      <c r="B35" s="128">
        <v>508605</v>
      </c>
      <c r="C35" s="128">
        <v>9295</v>
      </c>
      <c r="D35" s="128">
        <v>54854</v>
      </c>
      <c r="E35" s="120">
        <f t="shared" si="9"/>
        <v>572754</v>
      </c>
      <c r="F35" s="121">
        <f t="shared" si="10"/>
        <v>12.94</v>
      </c>
      <c r="G35" s="122">
        <f t="shared" si="6"/>
        <v>4464226</v>
      </c>
      <c r="H35" s="122"/>
      <c r="I35" s="122"/>
      <c r="J35" s="122"/>
      <c r="K35" s="99">
        <f>G15-(Q15+U15)</f>
        <v>572754</v>
      </c>
      <c r="L35" s="123" t="str">
        <f t="shared" si="7"/>
        <v>да</v>
      </c>
      <c r="M35" s="2"/>
      <c r="N35" s="124" t="s">
        <v>29</v>
      </c>
      <c r="O35" s="125">
        <f t="shared" si="12"/>
        <v>3996139</v>
      </c>
      <c r="P35" s="2"/>
      <c r="Q35" s="99">
        <f t="shared" si="13"/>
        <v>147363.81655410075</v>
      </c>
      <c r="R35" s="99">
        <f t="shared" si="14"/>
        <v>425390.18344589922</v>
      </c>
      <c r="S35" s="2" t="str">
        <f t="shared" si="15"/>
        <v>да</v>
      </c>
      <c r="T35" s="2"/>
      <c r="U35" s="99">
        <f t="shared" si="8"/>
        <v>5022524</v>
      </c>
      <c r="V35" s="112">
        <v>11</v>
      </c>
    </row>
    <row r="36" spans="1:22" ht="13.5" thickBot="1" x14ac:dyDescent="0.25">
      <c r="A36" s="118" t="s">
        <v>30</v>
      </c>
      <c r="B36" s="128">
        <f>236972+566856</f>
        <v>803828</v>
      </c>
      <c r="C36" s="128">
        <f>4701+11244</f>
        <v>15945</v>
      </c>
      <c r="D36" s="128">
        <f>28594+68400</f>
        <v>96994</v>
      </c>
      <c r="E36" s="120">
        <f t="shared" si="9"/>
        <v>916767</v>
      </c>
      <c r="F36" s="121">
        <f t="shared" si="10"/>
        <v>17.41</v>
      </c>
      <c r="G36" s="122">
        <f t="shared" si="6"/>
        <v>5328879</v>
      </c>
      <c r="H36" s="122"/>
      <c r="I36" s="122"/>
      <c r="J36" s="122"/>
      <c r="K36" s="99">
        <f>G16-(Q16+U16)</f>
        <v>916767</v>
      </c>
      <c r="L36" s="123" t="str">
        <f t="shared" si="7"/>
        <v>да</v>
      </c>
      <c r="M36" s="2"/>
      <c r="N36" s="124" t="s">
        <v>30</v>
      </c>
      <c r="O36" s="125">
        <f t="shared" si="12"/>
        <v>4730247</v>
      </c>
      <c r="P36" s="2"/>
      <c r="Q36" s="99">
        <f t="shared" si="13"/>
        <v>246398.22596853707</v>
      </c>
      <c r="R36" s="99">
        <f t="shared" si="14"/>
        <v>670368.77403146296</v>
      </c>
      <c r="S36" s="2" t="str">
        <f t="shared" si="15"/>
        <v>да</v>
      </c>
      <c r="T36" s="2"/>
      <c r="U36" s="99">
        <f t="shared" si="8"/>
        <v>5423584</v>
      </c>
      <c r="V36" s="112">
        <v>12</v>
      </c>
    </row>
    <row r="37" spans="1:22" ht="13.5" thickBot="1" x14ac:dyDescent="0.25">
      <c r="A37" s="118" t="s">
        <v>31</v>
      </c>
      <c r="B37" s="128">
        <v>626285</v>
      </c>
      <c r="C37" s="128">
        <v>12669</v>
      </c>
      <c r="D37" s="128">
        <v>82241</v>
      </c>
      <c r="E37" s="120">
        <f t="shared" si="9"/>
        <v>721195</v>
      </c>
      <c r="F37" s="121">
        <f t="shared" si="10"/>
        <v>12.43</v>
      </c>
      <c r="G37" s="122">
        <f t="shared" si="6"/>
        <v>5867744</v>
      </c>
      <c r="H37" s="122"/>
      <c r="I37" s="122"/>
      <c r="J37" s="122"/>
      <c r="K37" s="99">
        <f t="shared" si="11"/>
        <v>721195</v>
      </c>
      <c r="L37" s="123" t="str">
        <f t="shared" si="7"/>
        <v>да</v>
      </c>
      <c r="M37" s="2"/>
      <c r="N37" s="124" t="s">
        <v>31</v>
      </c>
      <c r="O37" s="125">
        <f t="shared" si="12"/>
        <v>4475781</v>
      </c>
      <c r="P37" s="2"/>
      <c r="Q37" s="99">
        <f t="shared" si="13"/>
        <v>200184.33754882091</v>
      </c>
      <c r="R37" s="99">
        <f t="shared" si="14"/>
        <v>521010.66245117906</v>
      </c>
      <c r="S37" s="2" t="str">
        <f t="shared" si="15"/>
        <v>да</v>
      </c>
      <c r="T37" s="2"/>
      <c r="U37" s="99"/>
      <c r="V37" s="2"/>
    </row>
    <row r="38" spans="1:22" ht="13.5" thickBot="1" x14ac:dyDescent="0.25">
      <c r="A38" s="129" t="s">
        <v>32</v>
      </c>
      <c r="B38" s="130">
        <f>971967-1612</f>
        <v>970355</v>
      </c>
      <c r="C38" s="130">
        <v>18764</v>
      </c>
      <c r="D38" s="130">
        <v>131608</v>
      </c>
      <c r="E38" s="120">
        <f t="shared" si="9"/>
        <v>1120727</v>
      </c>
      <c r="F38" s="121">
        <f t="shared" si="10"/>
        <v>16.95</v>
      </c>
      <c r="G38" s="122">
        <f t="shared" si="6"/>
        <v>6675423</v>
      </c>
      <c r="H38" s="122"/>
      <c r="I38" s="122"/>
      <c r="J38" s="122"/>
      <c r="K38" s="99">
        <f t="shared" si="11"/>
        <v>1120727</v>
      </c>
      <c r="L38" s="123" t="str">
        <f t="shared" si="7"/>
        <v>да</v>
      </c>
      <c r="M38" s="2"/>
      <c r="N38" s="124" t="s">
        <v>32</v>
      </c>
      <c r="O38" s="125">
        <f t="shared" si="12"/>
        <v>3878377</v>
      </c>
      <c r="P38" s="2"/>
      <c r="Q38" s="99">
        <f t="shared" si="13"/>
        <v>363559.62018264126</v>
      </c>
      <c r="R38" s="99">
        <f t="shared" si="14"/>
        <v>757167.37981735868</v>
      </c>
      <c r="S38" s="2" t="str">
        <f t="shared" si="15"/>
        <v>да</v>
      </c>
      <c r="T38" s="2"/>
      <c r="U38" s="99"/>
      <c r="V38" s="2"/>
    </row>
    <row r="39" spans="1:22" ht="13.5" thickBot="1" x14ac:dyDescent="0.25">
      <c r="A39" s="131" t="s">
        <v>43</v>
      </c>
      <c r="B39" s="132">
        <f>SUM(B27:B38)</f>
        <v>6918825</v>
      </c>
      <c r="C39" s="133">
        <f>SUM(C27:C38)</f>
        <v>136270</v>
      </c>
      <c r="D39" s="132">
        <f>SUM(D27:D38)</f>
        <v>940757</v>
      </c>
      <c r="E39" s="134">
        <f>SUM(E27:E38)</f>
        <v>7995852</v>
      </c>
      <c r="F39" s="135">
        <f>ROUND((E39*100/(G19-H20)),2)</f>
        <v>12.73</v>
      </c>
      <c r="G39" s="116"/>
      <c r="H39" s="116"/>
      <c r="I39" s="116"/>
      <c r="J39" s="116"/>
      <c r="K39" s="116"/>
      <c r="L39" s="2"/>
      <c r="M39" s="2"/>
      <c r="N39" s="136" t="s">
        <v>43</v>
      </c>
      <c r="O39" s="125">
        <f>SUM(O27:O38)</f>
        <v>44929169</v>
      </c>
      <c r="P39" s="2"/>
      <c r="Q39" s="99"/>
      <c r="R39" s="2"/>
      <c r="S39" s="2"/>
      <c r="T39" s="2"/>
      <c r="U39" s="2"/>
      <c r="V39" s="2"/>
    </row>
    <row r="40" spans="1:22" ht="51.75" thickBot="1" x14ac:dyDescent="0.25">
      <c r="A40" s="137" t="s">
        <v>44</v>
      </c>
      <c r="B40" s="39">
        <f>ROUND((B39*100/E39),2)</f>
        <v>86.53</v>
      </c>
      <c r="C40" s="138">
        <f>ROUND((C39*100/E39),2)</f>
        <v>1.7</v>
      </c>
      <c r="D40" s="39">
        <f>ROUND((D39*100/E39),2)</f>
        <v>11.77</v>
      </c>
      <c r="E40" s="139">
        <v>100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</sheetData>
  <mergeCells count="35">
    <mergeCell ref="Q25:T25"/>
    <mergeCell ref="A24:A26"/>
    <mergeCell ref="B24:E25"/>
    <mergeCell ref="F24:F26"/>
    <mergeCell ref="K24:K26"/>
    <mergeCell ref="N24:N26"/>
    <mergeCell ref="O24:O26"/>
    <mergeCell ref="R19:R20"/>
    <mergeCell ref="S19:S20"/>
    <mergeCell ref="T19:T20"/>
    <mergeCell ref="U19:U20"/>
    <mergeCell ref="V19:V20"/>
    <mergeCell ref="B20:C20"/>
    <mergeCell ref="D20:E20"/>
    <mergeCell ref="H20:K20"/>
    <mergeCell ref="Q5:Q6"/>
    <mergeCell ref="R5:S5"/>
    <mergeCell ref="A19:A20"/>
    <mergeCell ref="G19:G20"/>
    <mergeCell ref="L19:L20"/>
    <mergeCell ref="M19:M20"/>
    <mergeCell ref="N19:N20"/>
    <mergeCell ref="O19:O20"/>
    <mergeCell ref="P19:P20"/>
    <mergeCell ref="Q19:Q20"/>
    <mergeCell ref="A4:A6"/>
    <mergeCell ref="B4:G4"/>
    <mergeCell ref="H4:Q4"/>
    <mergeCell ref="R4:U4"/>
    <mergeCell ref="V4:V5"/>
    <mergeCell ref="B5:C5"/>
    <mergeCell ref="D5:E5"/>
    <mergeCell ref="G5:G6"/>
    <mergeCell ref="H5:K5"/>
    <mergeCell ref="L5:O5"/>
  </mergeCells>
  <dataValidations count="2">
    <dataValidation type="decimal" allowBlank="1" showErrorMessage="1" errorTitle="Ошибка" error="Допускается ввод только действительных чисел!" sqref="B33:D37">
      <formula1>-9.99999999999999E+23</formula1>
      <formula2>9.99999999999999E+23</formula2>
    </dataValidation>
    <dataValidation type="decimal" operator="notEqual" allowBlank="1" showInputMessage="1" showErrorMessage="1" sqref="B27:C32 D27:D29 D31:D32">
      <formula1>1E+24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баланс за 2021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2022-01-19T03:34:18Z</dcterms:created>
  <dcterms:modified xsi:type="dcterms:W3CDTF">2022-01-19T03:34:31Z</dcterms:modified>
</cp:coreProperties>
</file>